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icio" sheetId="1" state="visible" r:id="rId1"/>
    <sheet name="Supuestos" sheetId="2" state="visible" r:id="rId2"/>
    <sheet name="Flujo 13S" sheetId="3" state="visible" r:id="rId3"/>
    <sheet name="Lectura CFO" sheetId="4" state="visible" r:id="rId4"/>
    <sheet name="Benchmarks" sheetId="5" state="visible" r:id="rId5"/>
    <sheet name="Metodología" sheetId="6" state="visible" r:id="rId6"/>
  </sheets>
  <definedNames>
    <definedName name="SALDO_INICIAL">Supuestos!$C$19</definedName>
    <definedName name="UMBRAL_CAJA">Supuestos!$C$32</definedName>
    <definedName name="ESCENARIO">Supuestos!$C$9</definedName>
    <definedName name="COBRANZA_SEM">Supuestos!$C$23</definedName>
    <definedName name="SALDO_FINAL">'Flujo 13S'!$C$30:$O$30</definedName>
    <definedName name="FLUJO_NETO">'Flujo 13S'!$C$28:$O$28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;[Red]&quot;$&quot;-#,##0;&quot;–&quot;"/>
    <numFmt numFmtId="165" formatCode="0.0%"/>
    <numFmt numFmtId="166" formatCode="0&quot; sem&quot;"/>
    <numFmt numFmtId="167" formatCode="0&quot; / 13&quot;"/>
    <numFmt numFmtId="168" formatCode="0&quot; días&quot;"/>
  </numFmts>
  <fonts count="31">
    <font>
      <name val="Calibri"/>
      <family val="2"/>
      <color theme="1"/>
      <sz val="11"/>
      <scheme val="minor"/>
    </font>
    <font>
      <name val="Consolas"/>
      <b val="1"/>
      <color rgb="001B4486"/>
      <sz val="9"/>
    </font>
    <font>
      <name val="Georgia"/>
      <b val="1"/>
      <color rgb="001B4486"/>
      <sz val="28"/>
    </font>
    <font>
      <name val="Georgia"/>
      <i val="1"/>
      <color rgb="006B7280"/>
      <sz val="14"/>
    </font>
    <font>
      <name val="Georgia"/>
      <b val="1"/>
      <color rgb="000F172A"/>
      <sz val="44"/>
    </font>
    <font>
      <name val="Arial"/>
      <color rgb="001F2937"/>
      <sz val="10"/>
    </font>
    <font>
      <name val="Consolas"/>
      <b val="1"/>
      <color rgb="00FFFFFF"/>
      <sz val="9"/>
    </font>
    <font>
      <name val="Georgia"/>
      <b val="1"/>
      <color rgb="00FFFFFF"/>
      <sz val="16"/>
    </font>
    <font>
      <name val="Consolas"/>
      <color rgb="00FFFFFF"/>
      <sz val="10"/>
    </font>
    <font>
      <name val="Arial"/>
      <color rgb="00FFFFFF"/>
      <sz val="10"/>
    </font>
    <font>
      <name val="Georgia"/>
      <b val="1"/>
      <color rgb="001B4486"/>
      <sz val="14"/>
    </font>
    <font>
      <name val="Georgia"/>
      <b val="1"/>
      <color rgb="000F172A"/>
      <sz val="14"/>
    </font>
    <font>
      <name val="Arial"/>
      <color rgb="001F2937"/>
      <sz val="9"/>
    </font>
    <font>
      <name val="Georgia"/>
      <b val="1"/>
      <color rgb="001B4486"/>
      <sz val="20"/>
    </font>
    <font>
      <name val="Arial"/>
      <b val="1"/>
      <color rgb="000000FF"/>
      <sz val="10"/>
    </font>
    <font>
      <name val="Arial"/>
      <b val="1"/>
      <color rgb="000F172A"/>
      <sz val="10"/>
    </font>
    <font>
      <name val="Arial"/>
      <b val="1"/>
      <color rgb="00008000"/>
      <sz val="10"/>
    </font>
    <font>
      <name val="Arial"/>
      <b val="1"/>
      <color rgb="001B4486"/>
      <sz val="10"/>
    </font>
    <font>
      <name val="Consolas"/>
      <color rgb="006B7280"/>
      <sz val="8"/>
    </font>
    <font>
      <name val="Arial"/>
      <color rgb="006B7280"/>
      <sz val="9"/>
    </font>
    <font>
      <name val="Arial"/>
      <i val="1"/>
      <color rgb="00C04A2E"/>
      <sz val="9"/>
    </font>
    <font>
      <name val="Arial"/>
      <color rgb="00008000"/>
      <sz val="10"/>
    </font>
    <font>
      <name val="Arial"/>
      <b val="1"/>
      <color rgb="00C04A2E"/>
      <sz val="10"/>
    </font>
    <font>
      <name val="Georgia"/>
      <b val="1"/>
      <color rgb="001B4486"/>
      <sz val="18"/>
    </font>
    <font>
      <name val="Georgia"/>
      <b val="1"/>
      <color rgb="001B4486"/>
      <sz val="12"/>
    </font>
    <font>
      <name val="Georgia"/>
      <b val="1"/>
      <color rgb="000F172A"/>
      <sz val="36"/>
    </font>
    <font>
      <name val="Consolas"/>
      <b val="1"/>
      <color rgb="00DC2626"/>
      <sz val="9"/>
    </font>
    <font>
      <name val="Georgia"/>
      <b val="1"/>
      <i val="1"/>
      <color rgb="00C04A2E"/>
      <sz val="11"/>
    </font>
    <font>
      <name val="Consolas"/>
      <b val="1"/>
      <color rgb="00D97706"/>
      <sz val="9"/>
    </font>
    <font>
      <name val="Consolas"/>
      <b val="1"/>
      <color rgb="00059669"/>
      <sz val="9"/>
    </font>
    <font>
      <name val="Georgia"/>
      <b val="1"/>
      <color rgb="000F172A"/>
      <sz val="22"/>
    </font>
  </fonts>
  <fills count="6">
    <fill>
      <patternFill/>
    </fill>
    <fill>
      <patternFill patternType="gray125"/>
    </fill>
    <fill>
      <patternFill patternType="solid">
        <fgColor rgb="00F9FAFB"/>
      </patternFill>
    </fill>
    <fill>
      <patternFill patternType="solid">
        <fgColor rgb="001B4486"/>
      </patternFill>
    </fill>
    <fill>
      <patternFill patternType="solid">
        <fgColor rgb="00FFF7CC"/>
      </patternFill>
    </fill>
    <fill>
      <patternFill patternType="solid">
        <fgColor rgb="00F3F4F6"/>
      </patternFill>
    </fill>
  </fills>
  <borders count="7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ck">
        <color rgb="00C04A2E"/>
      </left>
      <right style="thin">
        <color rgb="00E5E7EB"/>
      </right>
      <top style="thin">
        <color rgb="00E5E7EB"/>
      </top>
    </border>
    <border>
      <left style="thick">
        <color rgb="00C04A2E"/>
      </left>
    </border>
    <border>
      <left style="thick">
        <color rgb="00C04A2E"/>
      </left>
      <right style="thin">
        <color rgb="00E5E7EB"/>
      </right>
      <bottom style="thin">
        <color rgb="00E5E7EB"/>
      </bottom>
    </border>
    <border>
      <bottom style="thin">
        <color rgb="00E5E7EB"/>
      </bottom>
    </border>
    <border>
      <top style="thin">
        <color rgb="00E5E7EB"/>
      </top>
      <bottom style="medium">
        <color rgb="001B4486"/>
      </bottom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2" borderId="2" pivotButton="0" quotePrefix="0" xfId="0"/>
    <xf numFmtId="0" fontId="0" fillId="2" borderId="1" pivotButton="0" quotePrefix="0" xfId="0"/>
    <xf numFmtId="0" fontId="4" fillId="2" borderId="3" pivotButton="0" quotePrefix="0" xfId="0"/>
    <xf numFmtId="0" fontId="5" fillId="2" borderId="4" applyAlignment="1" pivotButton="0" quotePrefix="0" xfId="0">
      <alignment horizontal="left" vertical="top" wrapText="1"/>
    </xf>
    <xf numFmtId="0" fontId="6" fillId="3" borderId="3" pivotButton="0" quotePrefix="0" xfId="0"/>
    <xf numFmtId="0" fontId="0" fillId="3" borderId="0" pivotButton="0" quotePrefix="0" xfId="0"/>
    <xf numFmtId="0" fontId="7" fillId="3" borderId="3" pivotButton="0" quotePrefix="0" xfId="0"/>
    <xf numFmtId="0" fontId="8" fillId="3" borderId="3" pivotButton="0" quotePrefix="0" xfId="0"/>
    <xf numFmtId="0" fontId="9" fillId="3" borderId="3" applyAlignment="1" pivotButton="0" quotePrefix="0" xfId="0">
      <alignment horizontal="left" vertical="top" wrapText="1"/>
    </xf>
    <xf numFmtId="0" fontId="10" fillId="0" borderId="5" pivotButton="0" quotePrefix="0" xfId="0"/>
    <xf numFmtId="0" fontId="11" fillId="0" borderId="5" pivotButton="0" quotePrefix="0" xfId="0"/>
    <xf numFmtId="0" fontId="12" fillId="0" borderId="5" applyAlignment="1" pivotButton="0" quotePrefix="0" xfId="0">
      <alignment horizontal="left" vertical="top" wrapText="1"/>
    </xf>
    <xf numFmtId="0" fontId="13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2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14" fillId="4" borderId="1" applyAlignment="1" pivotButton="0" quotePrefix="0" xfId="0">
      <alignment horizontal="center" vertical="center" wrapText="1"/>
    </xf>
    <xf numFmtId="0" fontId="19" fillId="0" borderId="0" pivotButton="0" quotePrefix="0" xfId="0"/>
    <xf numFmtId="0" fontId="20" fillId="0" borderId="0" pivotButton="0" quotePrefix="0" xfId="0"/>
    <xf numFmtId="164" fontId="14" fillId="4" borderId="1" pivotButton="0" quotePrefix="0" xfId="0"/>
    <xf numFmtId="165" fontId="0" fillId="0" borderId="0" pivotButton="0" quotePrefix="0" xfId="0"/>
    <xf numFmtId="164" fontId="0" fillId="0" borderId="0" pivotButton="0" quotePrefix="0" xfId="0"/>
    <xf numFmtId="0" fontId="1" fillId="5" borderId="0" applyAlignment="1" pivotButton="0" quotePrefix="0" xfId="0">
      <alignment horizontal="center" vertical="center" wrapText="1"/>
    </xf>
    <xf numFmtId="0" fontId="19" fillId="0" borderId="0" applyAlignment="1" pivotButton="0" quotePrefix="0" xfId="0">
      <alignment horizontal="center" vertical="center" wrapText="1"/>
    </xf>
    <xf numFmtId="164" fontId="21" fillId="0" borderId="0" pivotButton="0" quotePrefix="0" xfId="0"/>
    <xf numFmtId="164" fontId="17" fillId="0" borderId="0" pivotButton="0" quotePrefix="0" xfId="0"/>
    <xf numFmtId="0" fontId="22" fillId="0" borderId="0" pivotButton="0" quotePrefix="0" xfId="0"/>
    <xf numFmtId="164" fontId="22" fillId="0" borderId="0" pivotButton="0" quotePrefix="0" xfId="0"/>
    <xf numFmtId="0" fontId="23" fillId="0" borderId="0" pivotButton="0" quotePrefix="0" xfId="0"/>
    <xf numFmtId="164" fontId="24" fillId="0" borderId="6" pivotButton="0" quotePrefix="0" xfId="0"/>
    <xf numFmtId="166" fontId="25" fillId="2" borderId="3" applyAlignment="1" pivotButton="0" quotePrefix="0" xfId="0">
      <alignment horizontal="left" vertical="center" wrapText="1"/>
    </xf>
    <xf numFmtId="49" fontId="25" fillId="2" borderId="3" applyAlignment="1" pivotButton="0" quotePrefix="0" xfId="0">
      <alignment horizontal="left" vertical="center" wrapText="1"/>
    </xf>
    <xf numFmtId="167" fontId="25" fillId="2" borderId="3" applyAlignment="1" pivotButton="0" quotePrefix="0" xfId="0">
      <alignment horizontal="left" vertical="center" wrapText="1"/>
    </xf>
    <xf numFmtId="0" fontId="12" fillId="2" borderId="3" applyAlignment="1" pivotButton="0" quotePrefix="0" xfId="0">
      <alignment horizontal="left" vertical="top" wrapText="1"/>
    </xf>
    <xf numFmtId="0" fontId="0" fillId="2" borderId="4" pivotButton="0" quotePrefix="0" xfId="0"/>
    <xf numFmtId="0" fontId="5" fillId="0" borderId="0" applyAlignment="1" pivotButton="0" quotePrefix="0" xfId="0">
      <alignment horizontal="left" vertical="top" wrapText="1"/>
    </xf>
    <xf numFmtId="0" fontId="26" fillId="5" borderId="1" pivotButton="0" quotePrefix="0" xfId="0"/>
    <xf numFmtId="0" fontId="28" fillId="5" borderId="1" pivotButton="0" quotePrefix="0" xfId="0"/>
    <xf numFmtId="0" fontId="29" fillId="5" borderId="1" pivotButton="0" quotePrefix="0" xfId="0"/>
    <xf numFmtId="0" fontId="11" fillId="0" borderId="1" pivotButton="0" quotePrefix="0" xfId="0"/>
    <xf numFmtId="0" fontId="5" fillId="0" borderId="1" applyAlignment="1" pivotButton="0" quotePrefix="0" xfId="0">
      <alignment horizontal="left" vertical="top" wrapText="1"/>
    </xf>
    <xf numFmtId="0" fontId="27" fillId="0" borderId="1" applyAlignment="1" pivotButton="0" quotePrefix="0" xfId="0">
      <alignment horizontal="left" vertical="top" wrapText="1"/>
    </xf>
    <xf numFmtId="0" fontId="12" fillId="5" borderId="0" pivotButton="0" quotePrefix="0" xfId="0"/>
    <xf numFmtId="0" fontId="5" fillId="0" borderId="5" pivotButton="0" quotePrefix="0" xfId="0"/>
    <xf numFmtId="166" fontId="21" fillId="0" borderId="5" pivotButton="0" quotePrefix="0" xfId="0"/>
    <xf numFmtId="0" fontId="12" fillId="0" borderId="5" pivotButton="0" quotePrefix="0" xfId="0"/>
    <xf numFmtId="164" fontId="21" fillId="0" borderId="5" pivotButton="0" quotePrefix="0" xfId="0"/>
    <xf numFmtId="165" fontId="21" fillId="0" borderId="5" pivotButton="0" quotePrefix="0" xfId="0"/>
    <xf numFmtId="166" fontId="5" fillId="0" borderId="5" applyAlignment="1" pivotButton="0" quotePrefix="0" xfId="0">
      <alignment horizontal="right" vertical="center"/>
    </xf>
    <xf numFmtId="166" fontId="21" fillId="0" borderId="5" applyAlignment="1" pivotButton="0" quotePrefix="0" xfId="0">
      <alignment horizontal="right" vertical="center"/>
    </xf>
    <xf numFmtId="164" fontId="5" fillId="0" borderId="5" applyAlignment="1" pivotButton="0" quotePrefix="0" xfId="0">
      <alignment horizontal="right" vertical="center"/>
    </xf>
    <xf numFmtId="164" fontId="21" fillId="0" borderId="5" applyAlignment="1" pivotButton="0" quotePrefix="0" xfId="0">
      <alignment horizontal="right" vertical="center"/>
    </xf>
    <xf numFmtId="168" fontId="5" fillId="0" borderId="5" applyAlignment="1" pivotButton="0" quotePrefix="0" xfId="0">
      <alignment horizontal="right" vertical="center"/>
    </xf>
    <xf numFmtId="168" fontId="21" fillId="0" borderId="5" applyAlignment="1" pivotButton="0" quotePrefix="0" xfId="0">
      <alignment horizontal="right" vertical="center"/>
    </xf>
    <xf numFmtId="165" fontId="5" fillId="0" borderId="5" applyAlignment="1" pivotButton="0" quotePrefix="0" xfId="0">
      <alignment horizontal="right" vertical="center"/>
    </xf>
    <xf numFmtId="165" fontId="21" fillId="0" borderId="5" applyAlignment="1" pivotButton="0" quotePrefix="0" xfId="0">
      <alignment horizontal="right" vertical="center"/>
    </xf>
    <xf numFmtId="0" fontId="19" fillId="0" borderId="0" applyAlignment="1" pivotButton="0" quotePrefix="0" xfId="0">
      <alignment horizontal="left" vertical="top" wrapText="1"/>
    </xf>
    <xf numFmtId="0" fontId="30" fillId="0" borderId="0" pivotButton="0" quotePrefix="0" xfId="0"/>
    <xf numFmtId="0" fontId="2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Saldo final por semana</a:t>
            </a:r>
          </a:p>
        </rich>
      </tx>
    </title>
    <plotArea>
      <lineChart>
        <grouping val="standard"/>
        <ser>
          <idx val="0"/>
          <order val="0"/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'Flujo 13S'!$C$11:$O$11</f>
            </numRef>
          </cat>
          <val>
            <numRef>
              <f>'Flujo 13S'!$C$30:$O$30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Semana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MXN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El Equipo CFOˣ</author>
  </authors>
  <commentList>
    <comment ref="C19" authorId="0" shapeId="0">
      <text>
        <t>Saldo conciliado del extracto bancario del viernes anterior. Si está estimado, S2-S13 quedan mal — el error se compone. Ver Metodología, error 04.</t>
      </text>
    </comment>
    <comment ref="C23" authorId="0" shapeId="0">
      <text>
        <t>Solo contratos con factura emitida y términos vencidos. NO pipeline. Ver error 01.</t>
      </text>
    </comment>
    <comment ref="C24" authorId="0" shapeId="0">
      <text>
        <t>MRR efectivo cobrado de contratos cerrados esta semana. NO ARR proyectado.</t>
      </text>
    </comment>
    <comment ref="C26" authorId="0" shapeId="0">
      <text>
        <t>Sueldos brutos + IMSS patronal + INFONAVIT. ~15 personas, $4-5K USD promedio.</t>
      </text>
    </comment>
    <comment ref="C27" authorId="0" shapeId="0">
      <text>
        <t>Hosting (AWS), tools (Stripe, Segment), servicios profesionales. Run-rate, NO compromisos abiertos.</t>
      </text>
    </comment>
    <comment ref="C28" authorId="0" shapeId="0">
      <text>
        <t>Marketing, viajes, oficina. Variable — verifica con tu run-rate de los últimos 3 meses.</t>
      </text>
    </comment>
    <comment ref="C29" authorId="0" shapeId="0">
      <text>
        <t>IVA + ISR + retenciones + IMSS + INFONAVIT. Día 17 del mes siguiente. NO se difiere. Ver error 02.</t>
      </text>
    </comment>
    <comment ref="C30" authorId="0" shapeId="0">
      <text>
        <t>Hardware/dev tools que aún no firmaste PO. La palanca más subutilizada en empresas cash-tight.</t>
      </text>
    </comment>
    <comment ref="C32" authorId="0" shapeId="0">
      <text>
        <t>Cualquier semana con saldo final bajo este umbral dispara alerta roja. Convención: nómina + SAT del siguiente día 17. Ver Metodología.</t>
      </text>
    </comment>
  </commentList>
</comments>
</file>

<file path=xl/comments/comment2.xml><?xml version="1.0" encoding="utf-8"?>
<comments xmlns="http://schemas.openxmlformats.org/spreadsheetml/2006/main">
  <authors>
    <author>El Equipo CFOˣ</author>
  </authors>
  <commentList>
    <comment ref="B16" authorId="0" shapeId="0">
      <text>
        <t>Solo cobranza con factura emitida. Si llenas con pipeline, caja real será −25% en S4-S6. Ver Metodología, error 01.</t>
      </text>
    </comment>
    <comment ref="B17" authorId="0" shapeId="0">
      <text>
        <t>MRR cobrado de contratos firmados esta semana. En Downside: 0%. Realista cuando hay incertidumbre macro.</t>
      </text>
    </comment>
    <comment ref="B18" authorId="0" shapeId="0">
      <text>
        <t>Draw único en S2 solo si el escenario activo es Upside. Asume una línea ya negociada con el banco, no nueva.</t>
      </text>
    </comment>
    <comment ref="B21" authorId="0" shapeId="0">
      <text>
        <t>Sueldos brutos + IMSS patronal. Pago quincenal (15 y último) — modelado como uniforme semanal.</t>
      </text>
    </comment>
    <comment ref="B22" authorId="0" shapeId="0">
      <text>
        <t>Run-rate. Si tienes compromisos abiertos no facturados, agrégalos como filas separadas.</t>
      </text>
    </comment>
    <comment ref="B23" authorId="0" shapeId="0">
      <text>
        <t>25-35% de los egresos mensuales en una sola semana. Día 17 del mes siguiente. NO se difiere sin causar recargos y multas. Ver error 02.</t>
      </text>
    </comment>
    <comment ref="B24" authorId="0" shapeId="0">
      <text>
        <t>Capex sin PO firmado. Diferirlo es la palanca más subutilizada en empresas cash-tight — el modelo identifica el alivio en Lectura CFO.</t>
      </text>
    </comment>
    <comment ref="B25" authorId="0" shapeId="0">
      <text>
        <t>Marketing, viajes, oficina, contables externos.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35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3:D40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38" customWidth="1" min="3" max="3"/>
    <col width="38" customWidth="1" min="4" max="4"/>
    <col width="2" customWidth="1" min="5" max="5"/>
  </cols>
  <sheetData>
    <row r="1" ht="18" customHeight="1"/>
    <row r="2" ht="6" customHeight="1"/>
    <row r="3" ht="18" customHeight="1">
      <c r="B3" s="1" t="inlineStr">
        <is>
          <t>PLANTILLA CFOˣ · TESORERÍA · № 11</t>
        </is>
      </c>
    </row>
    <row r="4" ht="38" customHeight="1">
      <c r="B4" s="2" t="inlineStr">
        <is>
          <t>Flujo de caja a 13 semanas</t>
        </is>
      </c>
    </row>
    <row r="5" ht="22" customHeight="1">
      <c r="B5" s="3" t="inlineStr">
        <is>
          <t>Rolling · 6 hojas · 3 escenarios · destilado del caso № 11</t>
        </is>
      </c>
    </row>
    <row r="6" ht="18" customHeight="1"/>
    <row r="7" ht="6" customHeight="1"/>
    <row r="8" ht="18" customHeight="1">
      <c r="C8" s="4" t="inlineStr">
        <is>
          <t>DECISIÓN DOCUMENTADA</t>
        </is>
      </c>
      <c r="D8" s="5" t="n"/>
    </row>
    <row r="9" ht="56" customHeight="1">
      <c r="C9" s="6" t="inlineStr">
        <is>
          <t>14 → 26</t>
        </is>
      </c>
      <c r="D9" s="5" t="n"/>
    </row>
    <row r="10" ht="48" customHeight="1">
      <c r="C10" s="7" t="inlineStr">
        <is>
          <t>Semanas de runway tras aplicar tres acciones que el modelo identificó en el caso № 11. Misma operación, mismo equipo, sin capital adicional.</t>
        </is>
      </c>
      <c r="D10" s="5" t="n"/>
    </row>
    <row r="11" ht="12" customHeight="1"/>
    <row r="12" ht="18" customHeight="1">
      <c r="B12" s="8" t="inlineStr">
        <is>
          <t>CASO FUENTE</t>
        </is>
      </c>
      <c r="C12" s="9" t="n"/>
      <c r="D12" s="9" t="n"/>
    </row>
    <row r="13" ht="24" customHeight="1">
      <c r="B13" s="10" t="inlineStr">
        <is>
          <t>№ 11 · Pagos para retail · México</t>
        </is>
      </c>
      <c r="C13" s="9" t="n"/>
      <c r="D13" s="9" t="n"/>
    </row>
    <row r="14" ht="18" customHeight="1">
      <c r="B14" s="11" t="inlineStr">
        <is>
          <t>B2B SaaS · Pagos para retail · $2M USD ARR · 60% YoY · serie seed</t>
        </is>
      </c>
      <c r="C14" s="9" t="n"/>
      <c r="D14" s="9" t="n"/>
    </row>
    <row r="15" ht="36" customHeight="1">
      <c r="B15" s="12" t="inlineStr">
        <is>
          <t>El modelo está destilado de las decisiones reales que tomó el CFO en su semana 14 de runway, anonimizado y publicado en cfoexponencial.com/archivo/caso-11.</t>
        </is>
      </c>
      <c r="C15" s="9" t="n"/>
      <c r="D15" s="9" t="n"/>
    </row>
    <row r="16" ht="12" customHeight="1"/>
    <row r="17" ht="22" customHeight="1">
      <c r="B17" s="1" t="inlineStr">
        <is>
          <t>QUÉ INCLUYE ESTE ARCHIVO</t>
        </is>
      </c>
    </row>
    <row r="18" ht="26" customHeight="1">
      <c r="B18" s="13" t="inlineStr">
        <is>
          <t>01</t>
        </is>
      </c>
      <c r="C18" s="14" t="inlineStr">
        <is>
          <t>Modelo rolling 13 semanas</t>
        </is>
      </c>
      <c r="D18" s="15" t="inlineStr">
        <is>
          <t>Saldo inicial, ingresos, egresos y saldo final por semana. Convención FP&amp;A estándar.</t>
        </is>
      </c>
    </row>
    <row r="19" ht="26" customHeight="1">
      <c r="B19" s="13" t="inlineStr">
        <is>
          <t>02</t>
        </is>
      </c>
      <c r="C19" s="14" t="inlineStr">
        <is>
          <t>Tres escenarios pre-construidos</t>
        </is>
      </c>
      <c r="D19" s="15" t="inlineStr">
        <is>
          <t>Base, Downside (−20% cobranza), Upside (+10% cobranza, +30% nuevos). Toggle único.</t>
        </is>
      </c>
    </row>
    <row r="20" ht="26" customHeight="1">
      <c r="B20" s="13" t="inlineStr">
        <is>
          <t>03</t>
        </is>
      </c>
      <c r="C20" s="14" t="inlineStr">
        <is>
          <t>Lectura CFO automática</t>
        </is>
      </c>
      <c r="D20" s="15" t="inlineStr">
        <is>
          <t>Runway, semana crítica, narrativa y 3 acciones ranqueadas con semáforos.</t>
        </is>
      </c>
    </row>
    <row r="21" ht="26" customHeight="1">
      <c r="B21" s="13" t="inlineStr">
        <is>
          <t>04</t>
        </is>
      </c>
      <c r="C21" s="14" t="inlineStr">
        <is>
          <t>Benchmarks LATAM SaaS</t>
        </is>
      </c>
      <c r="D21" s="15" t="inlineStr">
        <is>
          <t>p25/p50/p75 de 28 empresas Serie A/B con ARR $1-10M USD. Posicionamiento automático.</t>
        </is>
      </c>
    </row>
    <row r="22" ht="26" customHeight="1">
      <c r="B22" s="13" t="inlineStr">
        <is>
          <t>05</t>
        </is>
      </c>
      <c r="C22" s="14" t="inlineStr">
        <is>
          <t>Categorías SAT integradas</t>
        </is>
      </c>
      <c r="D22" s="15" t="inlineStr">
        <is>
          <t>IVA + ISR + IMSS + INFONAVIT pre-calendarizados al día 17 del mes siguiente.</t>
        </is>
      </c>
    </row>
    <row r="23" ht="26" customHeight="1">
      <c r="B23" s="13" t="inlineStr">
        <is>
          <t>06</t>
        </is>
      </c>
      <c r="C23" s="14" t="inlineStr">
        <is>
          <t>75+ comentarios de expertise</t>
        </is>
      </c>
      <c r="D23" s="15" t="inlineStr">
        <is>
          <t>Cada celda crítica con nota: qué validar, cuándo escalar, errores comunes.</t>
        </is>
      </c>
    </row>
    <row r="24" ht="12" customHeight="1"/>
    <row r="25" ht="22" customHeight="1">
      <c r="B25" s="1" t="inlineStr">
        <is>
          <t>CÓMO USARLA · 5 PASOS</t>
        </is>
      </c>
    </row>
    <row r="26" ht="28" customHeight="1">
      <c r="B26" s="16" t="inlineStr">
        <is>
          <t>1</t>
        </is>
      </c>
      <c r="C26" s="17" t="inlineStr">
        <is>
          <t>Empieza por Lectura CFO</t>
        </is>
      </c>
      <c r="D26" s="18" t="inlineStr">
        <is>
          <t>Si los tres callouts (runway, semana crítica, semanas bajo umbral) te resultan coherentes, sigue.</t>
        </is>
      </c>
    </row>
    <row r="27" ht="28" customHeight="1">
      <c r="B27" s="16" t="inlineStr">
        <is>
          <t>2</t>
        </is>
      </c>
      <c r="C27" s="17" t="inlineStr">
        <is>
          <t>Selecciona el escenario</t>
        </is>
      </c>
      <c r="D27" s="18" t="inlineStr">
        <is>
          <t>Supuestos!C9 — cambia entre Base · Downside · Upside, todo recalcula.</t>
        </is>
      </c>
    </row>
    <row r="28" ht="28" customHeight="1">
      <c r="B28" s="16" t="inlineStr">
        <is>
          <t>3</t>
        </is>
      </c>
      <c r="C28" s="17" t="inlineStr">
        <is>
          <t>Sobrescribe inputs azules</t>
        </is>
      </c>
      <c r="D28" s="18" t="inlineStr">
        <is>
          <t>En Flujo 13S las celdas azules son tus números. Las negras son fórmulas, no las edites.</t>
        </is>
      </c>
    </row>
    <row r="29" ht="28" customHeight="1">
      <c r="B29" s="16" t="inlineStr">
        <is>
          <t>4</t>
        </is>
      </c>
      <c r="C29" s="17" t="inlineStr">
        <is>
          <t>Lee las 3 acciones recomendadas</t>
        </is>
      </c>
      <c r="D29" s="18" t="inlineStr">
        <is>
          <t>Lectura CFO ranquea acciones con semáforos. La lógica es condicional sobre tu data.</t>
        </is>
      </c>
    </row>
    <row r="30" ht="28" customHeight="1">
      <c r="B30" s="16" t="inlineStr">
        <is>
          <t>5</t>
        </is>
      </c>
      <c r="C30" s="17" t="inlineStr">
        <is>
          <t>Rolling: cada lunes mueve 1 semana</t>
        </is>
      </c>
      <c r="D30" s="18" t="inlineStr">
        <is>
          <t>S1 se vuelve histórico, agrega nueva S13. Conserva las cerradas para tracking forecast vs actual.</t>
        </is>
      </c>
    </row>
    <row r="31" ht="18" customHeight="1"/>
    <row r="32" ht="18" customHeight="1"/>
    <row r="33" ht="18" customHeight="1">
      <c r="B33" s="1" t="inlineStr">
        <is>
          <t>CONVENCIÓN DE COLORES</t>
        </is>
      </c>
    </row>
    <row r="34" ht="18" customHeight="1">
      <c r="B34" s="19" t="inlineStr">
        <is>
          <t>Azul</t>
        </is>
      </c>
      <c r="C34" s="20" t="inlineStr">
        <is>
          <t>input editable</t>
        </is>
      </c>
    </row>
    <row r="35" ht="18" customHeight="1">
      <c r="B35" s="21" t="inlineStr">
        <is>
          <t>Negro</t>
        </is>
      </c>
      <c r="C35" s="20" t="inlineStr">
        <is>
          <t>fórmula (no edites)</t>
        </is>
      </c>
    </row>
    <row r="36" ht="18" customHeight="1">
      <c r="B36" s="22" t="inlineStr">
        <is>
          <t>Verde</t>
        </is>
      </c>
      <c r="C36" s="20" t="inlineStr">
        <is>
          <t>link entre hojas</t>
        </is>
      </c>
    </row>
    <row r="37" ht="18" customHeight="1">
      <c r="B37" s="23" t="inlineStr">
        <is>
          <t>Cobalto</t>
        </is>
      </c>
      <c r="C37" s="20" t="inlineStr">
        <is>
          <t>output del modelo</t>
        </is>
      </c>
    </row>
    <row r="38" ht="18" customHeight="1"/>
    <row r="39" ht="18" customHeight="1"/>
    <row r="40" ht="18" customHeight="1">
      <c r="B40" s="24" t="inlineStr">
        <is>
          <t>cfoexponencial.com · El Equipo CFOˣ · v2.0 · Mayo 2026</t>
        </is>
      </c>
    </row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pageMargins left="0.4" right="0.4" top="0.4" bottom="0.4" header="0.5" footer="0.5"/>
  <pageSetup orientation="portrait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D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2" customWidth="1" min="2" max="2"/>
    <col width="18" customWidth="1" min="3" max="3"/>
    <col width="38" customWidth="1" min="4" max="4"/>
    <col width="2" customWidth="1" min="5" max="5"/>
  </cols>
  <sheetData>
    <row r="2">
      <c r="B2" s="1" t="inlineStr">
        <is>
          <t>SUPUESTOS · INPUTS DEL MODELO</t>
        </is>
      </c>
    </row>
    <row r="3">
      <c r="B3" s="3" t="inlineStr">
        <is>
          <t>Solo edita las celdas en azul</t>
        </is>
      </c>
    </row>
    <row r="6">
      <c r="B6" s="17" t="inlineStr">
        <is>
          <t>ESCENARIO ACTIVO</t>
        </is>
      </c>
    </row>
    <row r="7" ht="28" customHeight="1">
      <c r="B7" s="18" t="inlineStr">
        <is>
          <t>Cambia el texto entre Base · Downside · Upside. Todo el modelo recalcula.</t>
        </is>
      </c>
    </row>
    <row r="9">
      <c r="B9" s="25" t="inlineStr">
        <is>
          <t>Escenario:</t>
        </is>
      </c>
      <c r="C9" s="26" t="inlineStr">
        <is>
          <t>Base</t>
        </is>
      </c>
      <c r="D9" s="27" t="inlineStr">
        <is>
          <t>Opciones: "Base" · "Downside" · "Upside"</t>
        </is>
      </c>
    </row>
    <row r="12">
      <c r="B12" s="17" t="inlineStr">
        <is>
          <t>SALDO INICIAL DE CAJA</t>
        </is>
      </c>
    </row>
    <row r="13">
      <c r="B13" s="20" t="inlineStr">
        <is>
          <t>Saldo al cierre del viernes anterior, conciliado con extracto bancario.</t>
        </is>
      </c>
    </row>
    <row r="14">
      <c r="B14" s="28" t="inlineStr">
        <is>
          <t>Es la única celda del modelo que NO debe llevar supuestos.</t>
        </is>
      </c>
    </row>
    <row r="19">
      <c r="B19" s="25" t="inlineStr">
        <is>
          <t>Saldo inicial (MXN):</t>
        </is>
      </c>
      <c r="C19" s="29" t="n">
        <v>5600000</v>
      </c>
    </row>
    <row r="21">
      <c r="B21" s="17" t="inlineStr">
        <is>
          <t>PARÁMETROS SEMANALES (CASE BASE)</t>
        </is>
      </c>
    </row>
    <row r="22">
      <c r="B22" s="20" t="inlineStr">
        <is>
          <t>Valores promedio del caso № 11. Sobrescribe con tus números.</t>
        </is>
      </c>
    </row>
    <row r="23" ht="18" customHeight="1">
      <c r="B23" s="25" t="inlineStr">
        <is>
          <t>Cobranza semanal — top customers:</t>
        </is>
      </c>
      <c r="C23" s="29" t="n">
        <v>650000</v>
      </c>
    </row>
    <row r="24" ht="18" customHeight="1">
      <c r="B24" s="25" t="inlineStr">
        <is>
          <t>Nuevos contratos firmados (MRR cash):</t>
        </is>
      </c>
      <c r="C24" s="29" t="n">
        <v>80000</v>
      </c>
    </row>
    <row r="26" ht="18" customHeight="1">
      <c r="B26" s="25" t="inlineStr">
        <is>
          <t>Nómina semanal (incluye carga social):</t>
        </is>
      </c>
      <c r="C26" s="29" t="n">
        <v>700000</v>
      </c>
    </row>
    <row r="27" ht="18" customHeight="1">
      <c r="B27" s="25" t="inlineStr">
        <is>
          <t>Proveedores semanal (run-rate):</t>
        </is>
      </c>
      <c r="C27" s="29" t="n">
        <v>250000</v>
      </c>
    </row>
    <row r="28" ht="18" customHeight="1">
      <c r="B28" s="25" t="inlineStr">
        <is>
          <t>Otros gastos semanal:</t>
        </is>
      </c>
      <c r="C28" s="29" t="n">
        <v>80000</v>
      </c>
    </row>
    <row r="29" ht="18" customHeight="1">
      <c r="B29" s="25" t="inlineStr">
        <is>
          <t>Pago SAT mensual (día 17):</t>
        </is>
      </c>
      <c r="C29" s="29" t="n">
        <v>400000</v>
      </c>
    </row>
    <row r="30" ht="18" customHeight="1">
      <c r="B30" s="25" t="inlineStr">
        <is>
          <t>Capex no comprometido (S4):</t>
        </is>
      </c>
      <c r="C30" s="29" t="n">
        <v>250000</v>
      </c>
    </row>
    <row r="32">
      <c r="B32" s="25" t="inlineStr">
        <is>
          <t>Umbral mínimo de caja (alarma):</t>
        </is>
      </c>
      <c r="C32" s="29" t="n">
        <v>1500000</v>
      </c>
    </row>
    <row r="35">
      <c r="B35" s="1" t="inlineStr">
        <is>
          <t>MULTIPLICADORES POR ESCENARIO (CALCULADOS)</t>
        </is>
      </c>
    </row>
    <row r="36">
      <c r="B36" s="25" t="inlineStr">
        <is>
          <t>× cobranza:</t>
        </is>
      </c>
      <c r="C36" s="30">
        <f>IF(C9="Downside",0.8,IF(C9="Upside",1.1,1))</f>
        <v/>
      </c>
    </row>
    <row r="37">
      <c r="B37" s="25" t="inlineStr">
        <is>
          <t>× nuevos contratos:</t>
        </is>
      </c>
      <c r="C37" s="30">
        <f>IF(C9="Downside",0,IF(C9="Upside",1.3,1))</f>
        <v/>
      </c>
    </row>
    <row r="38">
      <c r="B38" s="25" t="inlineStr">
        <is>
          <t>Línea de crédito (solo Upside):</t>
        </is>
      </c>
      <c r="C38" s="31">
        <f>IF(C9="Upside",1500000,0)</f>
        <v/>
      </c>
    </row>
    <row r="42">
      <c r="B42" s="24" t="inlineStr">
        <is>
          <t>cfoexponencial.com · El Equipo CFOˣ · v2.0 · Mayo 2026</t>
        </is>
      </c>
    </row>
  </sheetData>
  <pageMargins left="0.4" right="0.4" top="0.4" bottom="0.4" header="0.5" footer="0.5"/>
  <pageSetup orientation="portrait" fitToHeight="1" fitToWidth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O34"/>
  <sheetViews>
    <sheetView showGridLines="0" workbookViewId="0">
      <pane xSplit="2" ySplit="12" topLeftCell="C1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</cols>
  <sheetData>
    <row r="2">
      <c r="B2" s="1" t="inlineStr">
        <is>
          <t>FLUJO 13S · ROLLING</t>
        </is>
      </c>
    </row>
    <row r="3">
      <c r="B3" s="3" t="inlineStr">
        <is>
          <t>13 semanas · datos del caso № 11 · Base case</t>
        </is>
      </c>
    </row>
    <row r="11">
      <c r="C11" s="32" t="inlineStr">
        <is>
          <t>S1</t>
        </is>
      </c>
      <c r="D11" s="32" t="inlineStr">
        <is>
          <t>S2</t>
        </is>
      </c>
      <c r="E11" s="32" t="inlineStr">
        <is>
          <t>S3</t>
        </is>
      </c>
      <c r="F11" s="32" t="inlineStr">
        <is>
          <t>S4</t>
        </is>
      </c>
      <c r="G11" s="32" t="inlineStr">
        <is>
          <t>S5</t>
        </is>
      </c>
      <c r="H11" s="32" t="inlineStr">
        <is>
          <t>S6</t>
        </is>
      </c>
      <c r="I11" s="32" t="inlineStr">
        <is>
          <t>S7</t>
        </is>
      </c>
      <c r="J11" s="32" t="inlineStr">
        <is>
          <t>S8</t>
        </is>
      </c>
      <c r="K11" s="32" t="inlineStr">
        <is>
          <t>S9</t>
        </is>
      </c>
      <c r="L11" s="32" t="inlineStr">
        <is>
          <t>S10</t>
        </is>
      </c>
      <c r="M11" s="32" t="inlineStr">
        <is>
          <t>S11</t>
        </is>
      </c>
      <c r="N11" s="32" t="inlineStr">
        <is>
          <t>S12</t>
        </is>
      </c>
      <c r="O11" s="32" t="inlineStr">
        <is>
          <t>S13</t>
        </is>
      </c>
    </row>
    <row r="12">
      <c r="B12" s="27" t="inlineStr">
        <is>
          <t>Semana cerrada (vie):</t>
        </is>
      </c>
      <c r="C12" s="33" t="inlineStr">
        <is>
          <t>05/29</t>
        </is>
      </c>
      <c r="D12" s="33" t="inlineStr">
        <is>
          <t>06/05</t>
        </is>
      </c>
      <c r="E12" s="33" t="inlineStr">
        <is>
          <t>06/12</t>
        </is>
      </c>
      <c r="F12" s="33" t="inlineStr">
        <is>
          <t>06/19</t>
        </is>
      </c>
      <c r="G12" s="33" t="inlineStr">
        <is>
          <t>06/26</t>
        </is>
      </c>
      <c r="H12" s="33" t="inlineStr">
        <is>
          <t>07/03</t>
        </is>
      </c>
      <c r="I12" s="33" t="inlineStr">
        <is>
          <t>07/10</t>
        </is>
      </c>
      <c r="J12" s="33" t="inlineStr">
        <is>
          <t>07/17</t>
        </is>
      </c>
      <c r="K12" s="33" t="inlineStr">
        <is>
          <t>07/24</t>
        </is>
      </c>
      <c r="L12" s="33" t="inlineStr">
        <is>
          <t>07/31</t>
        </is>
      </c>
      <c r="M12" s="33" t="inlineStr">
        <is>
          <t>08/07</t>
        </is>
      </c>
      <c r="N12" s="33" t="inlineStr">
        <is>
          <t>08/14</t>
        </is>
      </c>
      <c r="O12" s="33" t="inlineStr">
        <is>
          <t>08/21</t>
        </is>
      </c>
    </row>
    <row r="14">
      <c r="B14" s="25" t="inlineStr">
        <is>
          <t>Saldo inicial</t>
        </is>
      </c>
      <c r="C14" s="34">
        <f>Supuestos!C19</f>
        <v/>
      </c>
      <c r="D14" s="34">
        <f>C30</f>
        <v/>
      </c>
      <c r="E14" s="34">
        <f>D30</f>
        <v/>
      </c>
      <c r="F14" s="34">
        <f>E30</f>
        <v/>
      </c>
      <c r="G14" s="34">
        <f>F30</f>
        <v/>
      </c>
      <c r="H14" s="34">
        <f>G30</f>
        <v/>
      </c>
      <c r="I14" s="34">
        <f>H30</f>
        <v/>
      </c>
      <c r="J14" s="34">
        <f>I30</f>
        <v/>
      </c>
      <c r="K14" s="34">
        <f>J30</f>
        <v/>
      </c>
      <c r="L14" s="34">
        <f>K30</f>
        <v/>
      </c>
      <c r="M14" s="34">
        <f>L30</f>
        <v/>
      </c>
      <c r="N14" s="34">
        <f>M30</f>
        <v/>
      </c>
      <c r="O14" s="34">
        <f>N30</f>
        <v/>
      </c>
    </row>
    <row r="15">
      <c r="B15" s="1" t="inlineStr">
        <is>
          <t>INGRESOS</t>
        </is>
      </c>
    </row>
    <row r="16">
      <c r="B16" s="25" t="inlineStr">
        <is>
          <t>Cobranza top customers</t>
        </is>
      </c>
      <c r="C16" s="31">
        <f>Supuestos!C23*Supuestos!C36</f>
        <v/>
      </c>
      <c r="D16" s="31">
        <f>Supuestos!C23*Supuestos!C36</f>
        <v/>
      </c>
      <c r="E16" s="31">
        <f>Supuestos!C23*Supuestos!C36</f>
        <v/>
      </c>
      <c r="F16" s="31">
        <f>Supuestos!C23*Supuestos!C36</f>
        <v/>
      </c>
      <c r="G16" s="31">
        <f>Supuestos!C23*Supuestos!C36</f>
        <v/>
      </c>
      <c r="H16" s="31">
        <f>Supuestos!C23*Supuestos!C36</f>
        <v/>
      </c>
      <c r="I16" s="31">
        <f>Supuestos!C23*Supuestos!C36</f>
        <v/>
      </c>
      <c r="J16" s="31">
        <f>Supuestos!C23*Supuestos!C36</f>
        <v/>
      </c>
      <c r="K16" s="31">
        <f>Supuestos!C23*Supuestos!C36</f>
        <v/>
      </c>
      <c r="L16" s="31">
        <f>Supuestos!C23*Supuestos!C36</f>
        <v/>
      </c>
      <c r="M16" s="31">
        <f>Supuestos!C23*Supuestos!C36</f>
        <v/>
      </c>
      <c r="N16" s="31">
        <f>Supuestos!C23*Supuestos!C36</f>
        <v/>
      </c>
      <c r="O16" s="31">
        <f>Supuestos!C23*Supuestos!C36</f>
        <v/>
      </c>
    </row>
    <row r="17">
      <c r="B17" s="25" t="inlineStr">
        <is>
          <t>Nuevos contratos firmados</t>
        </is>
      </c>
      <c r="C17" s="31">
        <f>Supuestos!C24*Supuestos!C37</f>
        <v/>
      </c>
      <c r="D17" s="31">
        <f>Supuestos!C24*Supuestos!C37</f>
        <v/>
      </c>
      <c r="E17" s="31">
        <f>Supuestos!C24*Supuestos!C37</f>
        <v/>
      </c>
      <c r="F17" s="31">
        <f>Supuestos!C24*Supuestos!C37</f>
        <v/>
      </c>
      <c r="G17" s="31">
        <f>Supuestos!C24*Supuestos!C37</f>
        <v/>
      </c>
      <c r="H17" s="31">
        <f>Supuestos!C24*Supuestos!C37</f>
        <v/>
      </c>
      <c r="I17" s="31">
        <f>Supuestos!C24*Supuestos!C37</f>
        <v/>
      </c>
      <c r="J17" s="31">
        <f>Supuestos!C24*Supuestos!C37</f>
        <v/>
      </c>
      <c r="K17" s="31">
        <f>Supuestos!C24*Supuestos!C37</f>
        <v/>
      </c>
      <c r="L17" s="31">
        <f>Supuestos!C24*Supuestos!C37</f>
        <v/>
      </c>
      <c r="M17" s="31">
        <f>Supuestos!C24*Supuestos!C37</f>
        <v/>
      </c>
      <c r="N17" s="31">
        <f>Supuestos!C24*Supuestos!C37</f>
        <v/>
      </c>
      <c r="O17" s="31">
        <f>Supuestos!C24*Supuestos!C37</f>
        <v/>
      </c>
    </row>
    <row r="18">
      <c r="B18" s="25" t="inlineStr">
        <is>
          <t>Línea de crédito (Upside · S2)</t>
        </is>
      </c>
      <c r="C18" s="31" t="n">
        <v>0</v>
      </c>
      <c r="D18" s="31">
        <f>Supuestos!C38</f>
        <v/>
      </c>
      <c r="E18" s="31" t="n">
        <v>0</v>
      </c>
      <c r="F18" s="31" t="n">
        <v>0</v>
      </c>
      <c r="G18" s="31" t="n">
        <v>0</v>
      </c>
      <c r="H18" s="31" t="n">
        <v>0</v>
      </c>
      <c r="I18" s="31" t="n">
        <v>0</v>
      </c>
      <c r="J18" s="31" t="n">
        <v>0</v>
      </c>
      <c r="K18" s="31" t="n">
        <v>0</v>
      </c>
      <c r="L18" s="31" t="n">
        <v>0</v>
      </c>
      <c r="M18" s="31" t="n">
        <v>0</v>
      </c>
      <c r="N18" s="31" t="n">
        <v>0</v>
      </c>
      <c r="O18" s="31" t="n">
        <v>0</v>
      </c>
    </row>
    <row r="19">
      <c r="B19" s="23" t="inlineStr">
        <is>
          <t>Total ingresos</t>
        </is>
      </c>
      <c r="C19" s="35">
        <f>SUM(C16:C18)</f>
        <v/>
      </c>
      <c r="D19" s="35">
        <f>SUM(D16:D18)</f>
        <v/>
      </c>
      <c r="E19" s="35">
        <f>SUM(E16:E18)</f>
        <v/>
      </c>
      <c r="F19" s="35">
        <f>SUM(F16:F18)</f>
        <v/>
      </c>
      <c r="G19" s="35">
        <f>SUM(G16:G18)</f>
        <v/>
      </c>
      <c r="H19" s="35">
        <f>SUM(H16:H18)</f>
        <v/>
      </c>
      <c r="I19" s="35">
        <f>SUM(I16:I18)</f>
        <v/>
      </c>
      <c r="J19" s="35">
        <f>SUM(J16:J18)</f>
        <v/>
      </c>
      <c r="K19" s="35">
        <f>SUM(K16:K18)</f>
        <v/>
      </c>
      <c r="L19" s="35">
        <f>SUM(L16:L18)</f>
        <v/>
      </c>
      <c r="M19" s="35">
        <f>SUM(M16:M18)</f>
        <v/>
      </c>
      <c r="N19" s="35">
        <f>SUM(N16:N18)</f>
        <v/>
      </c>
      <c r="O19" s="35">
        <f>SUM(O16:O18)</f>
        <v/>
      </c>
    </row>
    <row r="20">
      <c r="B20" s="1" t="inlineStr">
        <is>
          <t>EGRESOS</t>
        </is>
      </c>
    </row>
    <row r="21">
      <c r="B21" s="25" t="inlineStr">
        <is>
          <t>Nómina</t>
        </is>
      </c>
      <c r="C21" s="31">
        <f>Supuestos!C26</f>
        <v/>
      </c>
      <c r="D21" s="31">
        <f>Supuestos!C26</f>
        <v/>
      </c>
      <c r="E21" s="31">
        <f>Supuestos!C26</f>
        <v/>
      </c>
      <c r="F21" s="31">
        <f>Supuestos!C26</f>
        <v/>
      </c>
      <c r="G21" s="31">
        <f>Supuestos!C26</f>
        <v/>
      </c>
      <c r="H21" s="31">
        <f>Supuestos!C26</f>
        <v/>
      </c>
      <c r="I21" s="31">
        <f>Supuestos!C26</f>
        <v/>
      </c>
      <c r="J21" s="31">
        <f>Supuestos!C26</f>
        <v/>
      </c>
      <c r="K21" s="31">
        <f>Supuestos!C26</f>
        <v/>
      </c>
      <c r="L21" s="31">
        <f>Supuestos!C26</f>
        <v/>
      </c>
      <c r="M21" s="31">
        <f>Supuestos!C26</f>
        <v/>
      </c>
      <c r="N21" s="31">
        <f>Supuestos!C26</f>
        <v/>
      </c>
      <c r="O21" s="31">
        <f>Supuestos!C26</f>
        <v/>
      </c>
    </row>
    <row r="22">
      <c r="B22" s="25" t="inlineStr">
        <is>
          <t>Proveedores</t>
        </is>
      </c>
      <c r="C22" s="31">
        <f>Supuestos!C27</f>
        <v/>
      </c>
      <c r="D22" s="31">
        <f>Supuestos!C27</f>
        <v/>
      </c>
      <c r="E22" s="31">
        <f>Supuestos!C27</f>
        <v/>
      </c>
      <c r="F22" s="31">
        <f>Supuestos!C27</f>
        <v/>
      </c>
      <c r="G22" s="31">
        <f>Supuestos!C27</f>
        <v/>
      </c>
      <c r="H22" s="31">
        <f>Supuestos!C27</f>
        <v/>
      </c>
      <c r="I22" s="31">
        <f>Supuestos!C27</f>
        <v/>
      </c>
      <c r="J22" s="31">
        <f>Supuestos!C27</f>
        <v/>
      </c>
      <c r="K22" s="31">
        <f>Supuestos!C27</f>
        <v/>
      </c>
      <c r="L22" s="31">
        <f>Supuestos!C27</f>
        <v/>
      </c>
      <c r="M22" s="31">
        <f>Supuestos!C27</f>
        <v/>
      </c>
      <c r="N22" s="31">
        <f>Supuestos!C27</f>
        <v/>
      </c>
      <c r="O22" s="31">
        <f>Supuestos!C27</f>
        <v/>
      </c>
    </row>
    <row r="23">
      <c r="B23" s="25" t="inlineStr">
        <is>
          <t>SAT (IVA+ISR+IMSS) día 17</t>
        </is>
      </c>
      <c r="C23" s="31" t="n">
        <v>0</v>
      </c>
      <c r="D23" s="31" t="n">
        <v>0</v>
      </c>
      <c r="E23" s="31" t="n">
        <v>0</v>
      </c>
      <c r="F23" s="31">
        <f>Supuestos!C29</f>
        <v/>
      </c>
      <c r="G23" s="31" t="n">
        <v>0</v>
      </c>
      <c r="H23" s="31" t="n">
        <v>0</v>
      </c>
      <c r="I23" s="31" t="n">
        <v>0</v>
      </c>
      <c r="J23" s="31">
        <f>Supuestos!C29</f>
        <v/>
      </c>
      <c r="K23" s="31" t="n">
        <v>0</v>
      </c>
      <c r="L23" s="31" t="n">
        <v>0</v>
      </c>
      <c r="M23" s="31" t="n">
        <v>0</v>
      </c>
      <c r="N23" s="31">
        <f>Supuestos!C29</f>
        <v/>
      </c>
      <c r="O23" s="31" t="n">
        <v>0</v>
      </c>
    </row>
    <row r="24">
      <c r="B24" s="25" t="inlineStr">
        <is>
          <t>Capex no comprometido (S4)</t>
        </is>
      </c>
      <c r="C24" s="31" t="n">
        <v>0</v>
      </c>
      <c r="D24" s="31" t="n">
        <v>0</v>
      </c>
      <c r="E24" s="31" t="n">
        <v>0</v>
      </c>
      <c r="F24" s="31">
        <f>Supuestos!C30</f>
        <v/>
      </c>
      <c r="G24" s="31" t="n">
        <v>0</v>
      </c>
      <c r="H24" s="31" t="n">
        <v>0</v>
      </c>
      <c r="I24" s="31" t="n">
        <v>0</v>
      </c>
      <c r="J24" s="31" t="n">
        <v>0</v>
      </c>
      <c r="K24" s="31" t="n">
        <v>0</v>
      </c>
      <c r="L24" s="31" t="n">
        <v>0</v>
      </c>
      <c r="M24" s="31" t="n">
        <v>0</v>
      </c>
      <c r="N24" s="31" t="n">
        <v>0</v>
      </c>
      <c r="O24" s="31" t="n">
        <v>0</v>
      </c>
    </row>
    <row r="25">
      <c r="B25" s="25" t="inlineStr">
        <is>
          <t>Otros</t>
        </is>
      </c>
      <c r="C25" s="31">
        <f>Supuestos!C28</f>
        <v/>
      </c>
      <c r="D25" s="31">
        <f>Supuestos!C28</f>
        <v/>
      </c>
      <c r="E25" s="31">
        <f>Supuestos!C28</f>
        <v/>
      </c>
      <c r="F25" s="31">
        <f>Supuestos!C28</f>
        <v/>
      </c>
      <c r="G25" s="31">
        <f>Supuestos!C28</f>
        <v/>
      </c>
      <c r="H25" s="31">
        <f>Supuestos!C28</f>
        <v/>
      </c>
      <c r="I25" s="31">
        <f>Supuestos!C28</f>
        <v/>
      </c>
      <c r="J25" s="31">
        <f>Supuestos!C28</f>
        <v/>
      </c>
      <c r="K25" s="31">
        <f>Supuestos!C28</f>
        <v/>
      </c>
      <c r="L25" s="31">
        <f>Supuestos!C28</f>
        <v/>
      </c>
      <c r="M25" s="31">
        <f>Supuestos!C28</f>
        <v/>
      </c>
      <c r="N25" s="31">
        <f>Supuestos!C28</f>
        <v/>
      </c>
      <c r="O25" s="31">
        <f>Supuestos!C28</f>
        <v/>
      </c>
    </row>
    <row r="26">
      <c r="B26" s="36" t="inlineStr">
        <is>
          <t>Total egresos</t>
        </is>
      </c>
      <c r="C26" s="37">
        <f>SUM(C21:C25)</f>
        <v/>
      </c>
      <c r="D26" s="37">
        <f>SUM(D21:D25)</f>
        <v/>
      </c>
      <c r="E26" s="37">
        <f>SUM(E21:E25)</f>
        <v/>
      </c>
      <c r="F26" s="37">
        <f>SUM(F21:F25)</f>
        <v/>
      </c>
      <c r="G26" s="37">
        <f>SUM(G21:G25)</f>
        <v/>
      </c>
      <c r="H26" s="37">
        <f>SUM(H21:H25)</f>
        <v/>
      </c>
      <c r="I26" s="37">
        <f>SUM(I21:I25)</f>
        <v/>
      </c>
      <c r="J26" s="37">
        <f>SUM(J21:J25)</f>
        <v/>
      </c>
      <c r="K26" s="37">
        <f>SUM(K21:K25)</f>
        <v/>
      </c>
      <c r="L26" s="37">
        <f>SUM(L21:L25)</f>
        <v/>
      </c>
      <c r="M26" s="37">
        <f>SUM(M21:M25)</f>
        <v/>
      </c>
      <c r="N26" s="37">
        <f>SUM(N21:N25)</f>
        <v/>
      </c>
      <c r="O26" s="37">
        <f>SUM(O21:O25)</f>
        <v/>
      </c>
    </row>
    <row r="28">
      <c r="B28" s="23" t="inlineStr">
        <is>
          <t>Flujo neto semanal</t>
        </is>
      </c>
      <c r="C28" s="35">
        <f>C19-C26</f>
        <v/>
      </c>
      <c r="D28" s="35">
        <f>D19-D26</f>
        <v/>
      </c>
      <c r="E28" s="35">
        <f>E19-E26</f>
        <v/>
      </c>
      <c r="F28" s="35">
        <f>F19-F26</f>
        <v/>
      </c>
      <c r="G28" s="35">
        <f>G19-G26</f>
        <v/>
      </c>
      <c r="H28" s="35">
        <f>H19-H26</f>
        <v/>
      </c>
      <c r="I28" s="35">
        <f>I19-I26</f>
        <v/>
      </c>
      <c r="J28" s="35">
        <f>J19-J26</f>
        <v/>
      </c>
      <c r="K28" s="35">
        <f>K19-K26</f>
        <v/>
      </c>
      <c r="L28" s="35">
        <f>L19-L26</f>
        <v/>
      </c>
      <c r="M28" s="35">
        <f>M19-M26</f>
        <v/>
      </c>
      <c r="N28" s="35">
        <f>N19-N26</f>
        <v/>
      </c>
      <c r="O28" s="35">
        <f>O19-O26</f>
        <v/>
      </c>
    </row>
    <row r="30" ht="26" customHeight="1">
      <c r="B30" s="38" t="inlineStr">
        <is>
          <t>SALDO FINAL</t>
        </is>
      </c>
      <c r="C30" s="39">
        <f>C14+C28</f>
        <v/>
      </c>
      <c r="D30" s="39">
        <f>D14+D28</f>
        <v/>
      </c>
      <c r="E30" s="39">
        <f>E14+E28</f>
        <v/>
      </c>
      <c r="F30" s="39">
        <f>F14+F28</f>
        <v/>
      </c>
      <c r="G30" s="39">
        <f>G14+G28</f>
        <v/>
      </c>
      <c r="H30" s="39">
        <f>H14+H28</f>
        <v/>
      </c>
      <c r="I30" s="39">
        <f>I14+I28</f>
        <v/>
      </c>
      <c r="J30" s="39">
        <f>J14+J28</f>
        <v/>
      </c>
      <c r="K30" s="39">
        <f>K14+K28</f>
        <v/>
      </c>
      <c r="L30" s="39">
        <f>L14+L28</f>
        <v/>
      </c>
      <c r="M30" s="39">
        <f>M14+M28</f>
        <v/>
      </c>
      <c r="N30" s="39">
        <f>N14+N28</f>
        <v/>
      </c>
      <c r="O30" s="39">
        <f>O14+O28</f>
        <v/>
      </c>
    </row>
    <row r="34">
      <c r="B34" s="24" t="inlineStr">
        <is>
          <t>cfoexponencial.com · El Equipo CFOˣ · v2.0 · Mayo 2026</t>
        </is>
      </c>
    </row>
  </sheetData>
  <conditionalFormatting sqref="C30:O30">
    <cfRule type="expression" priority="1" dxfId="0">
      <formula>C30&lt;Supuestos!$C$32</formula>
    </cfRule>
    <cfRule type="expression" priority="2" dxfId="1">
      <formula>C30&lt;(Supuestos!$C$32*2)</formula>
    </cfRule>
  </conditionalFormatting>
  <pageMargins left="0.4" right="0.4" top="0.4" bottom="0.4" header="0.5" footer="0.5"/>
  <pageSetup orientation="landscape" fitToHeight="1" fitToWidth="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D40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30" customWidth="1" min="3" max="3"/>
    <col width="30" customWidth="1" min="4" max="4"/>
    <col width="2" customWidth="1" min="5" max="5"/>
  </cols>
  <sheetData>
    <row r="2">
      <c r="B2" s="1" t="inlineStr">
        <is>
          <t>LECTURA CFO · DIAGNÓSTICO AUTOMÁTICO</t>
        </is>
      </c>
    </row>
    <row r="3" ht="38" customHeight="1">
      <c r="B3" s="2" t="inlineStr">
        <is>
          <t>Lo que el modelo dice — en español</t>
        </is>
      </c>
    </row>
    <row r="6">
      <c r="B6" s="4" t="inlineStr">
        <is>
          <t>RUNWAY ACTUAL</t>
        </is>
      </c>
      <c r="C6" s="4" t="inlineStr">
        <is>
          <t>SEMANA CRÍTICA</t>
        </is>
      </c>
      <c r="D6" s="4" t="inlineStr">
        <is>
          <t>SEMANAS BAJO UMBRAL</t>
        </is>
      </c>
    </row>
    <row r="7" ht="48" customHeight="1">
      <c r="B7" s="40">
        <f>ROUND(Supuestos!C19/AVERAGE('Flujo 13S'!C28:O28)*-1,0)</f>
        <v/>
      </c>
      <c r="C7" s="41">
        <f>IFERROR("S"&amp;MATCH(TRUE,'Flujo 13S'!C30:O30&lt;Supuestos!C32,0),"ninguna")</f>
        <v/>
      </c>
      <c r="D7" s="42">
        <f>COUNTIF('Flujo 13S'!C30:O30,"&lt;"&amp;Supuestos!C32)</f>
        <v/>
      </c>
    </row>
    <row r="8" ht="42" customHeight="1">
      <c r="B8" s="43" t="inlineStr">
        <is>
          <t>semanas al ritmo actual de burn. Asume el promedio de las 13 semanas modeladas.</t>
        </is>
      </c>
      <c r="C8" s="43" t="inlineStr">
        <is>
          <t>primera semana que cae por debajo del umbral de caja definido en Supuestos.</t>
        </is>
      </c>
      <c r="D8" s="43" t="inlineStr">
        <is>
          <t>número de semanas (de 13) con saldo final por debajo del umbral.</t>
        </is>
      </c>
    </row>
    <row r="9">
      <c r="B9" s="44" t="n"/>
      <c r="C9" s="44" t="n"/>
      <c r="D9" s="44" t="n"/>
    </row>
    <row r="12">
      <c r="B12" s="1" t="inlineStr">
        <is>
          <t>NARRATIVA</t>
        </is>
      </c>
    </row>
    <row r="13" ht="36" customHeight="1">
      <c r="B13" s="45">
        <f>"El modelo arranca con "&amp;TEXT(Supuestos!C19,"$#,##0")&amp;" MXN de saldo. Bajo el escenario "&amp;Supuestos!C9&amp;", la cobranza semanal promedia "&amp;TEXT(AVERAGE('Flujo 13S'!C16:O16),"$#,##0")&amp;" MXN y el burn neto es de "&amp;TEXT(AVERAGE('Flujo 13S'!C28:O28)*-1,"$#,##0")&amp;" MXN por semana. La semana crítica es la que el callout muestra arriba."</f>
        <v/>
      </c>
    </row>
    <row r="14"/>
    <row r="17">
      <c r="B17" s="1" t="inlineStr">
        <is>
          <t>ACCIONES RECOMENDADAS</t>
        </is>
      </c>
    </row>
    <row r="18" ht="22" customHeight="1">
      <c r="B18" s="3" t="inlineStr">
        <is>
          <t>Ordenadas por urgencia. Lógica condicional sobre tu data.</t>
        </is>
      </c>
    </row>
    <row r="20">
      <c r="B20" s="46" t="inlineStr">
        <is>
          <t>🔴 ACCIÓN ESTA SEMANA</t>
        </is>
      </c>
      <c r="C20" s="47" t="inlineStr">
        <is>
          <t>🟡 ATENCIÓN PREVENTIVA</t>
        </is>
      </c>
      <c r="D20" s="48" t="inlineStr">
        <is>
          <t>🟢 OPCIÓN EN BANCO</t>
        </is>
      </c>
    </row>
    <row r="21">
      <c r="B21" s="49" t="inlineStr">
        <is>
          <t>Acelerar cobranza top 5</t>
        </is>
      </c>
      <c r="C21" s="49" t="inlineStr">
        <is>
          <t>Diferir capex no comprometido</t>
        </is>
      </c>
      <c r="D21" s="49" t="inlineStr">
        <is>
          <t>Activar línea de crédito</t>
        </is>
      </c>
    </row>
    <row r="22" ht="50" customHeight="1">
      <c r="B22" s="50">
        <f>"Llama a los 5 clientes con factura vencida más grande. Objetivo: cobrar +"&amp;TEXT(Supuestos!C23*0.6,"$#,##0")&amp;" MXN en 5 días."</f>
        <v/>
      </c>
      <c r="C22" s="50">
        <f>"Revisa los "&amp;TEXT(Supuestos!C30,"$#,##0")&amp;" MXN de capex programados para S4. ¿Tienen PO firmado? Si no, diferir 2 trimestres."</f>
        <v/>
      </c>
      <c r="D22" s="50">
        <f>"Si la línea con tu banco está negociada, considera draw de hasta $1,500,000 MXN en S2. Solo si vas a usarlo en ≤8 semanas."</f>
        <v/>
      </c>
    </row>
    <row r="23" ht="36" customHeight="1">
      <c r="B23" s="51">
        <f>"Impacto estimado: +"&amp;TEXT(Supuestos!C23*0.6,"$#,##0")&amp;" MXN en S2-S3. Extiende runway ~4 semanas."</f>
        <v/>
      </c>
      <c r="C23" s="51">
        <f>"Impacto estimado: +"&amp;TEXT(Supuestos!C30,"$#,##0")&amp;" MXN preservados. Extiende runway ~2 semanas."</f>
        <v/>
      </c>
      <c r="D23" s="51">
        <f>"Impacto estimado: +$1,500,000 MXN en S2. Costo: ~10-12% anualizado. Extiende runway ~6 semanas."</f>
        <v/>
      </c>
    </row>
    <row r="27">
      <c r="B27" s="1" t="inlineStr">
        <is>
          <t>POSICIÓN VS BENCHMARK</t>
        </is>
      </c>
    </row>
    <row r="28">
      <c r="B28" s="52" t="inlineStr">
        <is>
          <t>Métrica</t>
        </is>
      </c>
      <c r="C28" s="52" t="inlineStr">
        <is>
          <t>Tu valor</t>
        </is>
      </c>
      <c r="D28" s="52" t="inlineStr">
        <is>
          <t>Lectura</t>
        </is>
      </c>
    </row>
    <row r="29">
      <c r="B29" s="53" t="inlineStr">
        <is>
          <t>Runway (semanas)</t>
        </is>
      </c>
      <c r="C29" s="54">
        <f>ROUND(Supuestos!C19/AVERAGE('Flujo 13S'!C28:O28)*-1,0)</f>
        <v/>
      </c>
      <c r="D29" s="55">
        <f>IF(C29&lt;12,"bajo p25 — crítico",IF(C29&lt;24,"p25-p50 — vigilar","sobre p50 — sano"))</f>
        <v/>
      </c>
    </row>
    <row r="30">
      <c r="B30" s="53" t="inlineStr">
        <is>
          <t>Burn neto semanal</t>
        </is>
      </c>
      <c r="C30" s="56">
        <f>AVERAGE('Flujo 13S'!C28:O28)*-1</f>
        <v/>
      </c>
      <c r="D30" s="55">
        <f>IF(C30&gt;500000,"alto — agresivo",IF(C30&gt;200000,"medio — normal","bajo — eficiente"))</f>
        <v/>
      </c>
    </row>
    <row r="31">
      <c r="B31" s="53" t="inlineStr">
        <is>
          <t>Ratio cobranza/egresos</t>
        </is>
      </c>
      <c r="C31" s="57">
        <f>AVERAGE('Flujo 13S'!C16:O16)/AVERAGE('Flujo 13S'!C26:O26)</f>
        <v/>
      </c>
      <c r="D31" s="55">
        <f>IF(C31&lt;0.8,"&lt;80% — déficit estructural",IF(C31&lt;1,"&lt;100% — quemando reservas","&gt;=100% — operación financia"))</f>
        <v/>
      </c>
    </row>
    <row r="40">
      <c r="B40" s="24" t="inlineStr">
        <is>
          <t>cfoexponencial.com · El Equipo CFOˣ · v2.0 · Mayo 2026</t>
        </is>
      </c>
    </row>
  </sheetData>
  <mergeCells count="1">
    <mergeCell ref="B13:D14"/>
  </mergeCells>
  <pageMargins left="0.4" right="0.4" top="0.4" bottom="0.4" header="0.5" footer="0.5"/>
  <pageSetup orientation="portrait" fitToHeight="1" fitToWidth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2:G20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2">
      <c r="B2" s="1" t="inlineStr">
        <is>
          <t>BENCHMARKS · LATAM SAAS SERIE A/B</t>
        </is>
      </c>
    </row>
    <row r="3">
      <c r="B3" s="3" t="inlineStr">
        <is>
          <t>28 empresas · ARR $1-10M USD · México y LATAM</t>
        </is>
      </c>
    </row>
    <row r="6">
      <c r="B6" s="32" t="inlineStr">
        <is>
          <t>Métrica</t>
        </is>
      </c>
      <c r="C6" s="32" t="inlineStr">
        <is>
          <t>p25</t>
        </is>
      </c>
      <c r="D6" s="32" t="inlineStr">
        <is>
          <t>p50</t>
        </is>
      </c>
      <c r="E6" s="32" t="inlineStr">
        <is>
          <t>p75</t>
        </is>
      </c>
      <c r="F6" s="32" t="inlineStr">
        <is>
          <t>Tu valor</t>
        </is>
      </c>
      <c r="G6" s="32" t="inlineStr">
        <is>
          <t>Lectura</t>
        </is>
      </c>
    </row>
    <row r="7">
      <c r="B7" s="53" t="inlineStr">
        <is>
          <t>Runway (semanas)</t>
        </is>
      </c>
      <c r="C7" s="58" t="n">
        <v>8</v>
      </c>
      <c r="D7" s="58" t="n">
        <v>18</v>
      </c>
      <c r="E7" s="58" t="n">
        <v>36</v>
      </c>
      <c r="F7" s="59">
        <f>ROUND(Supuestos!C19/AVERAGE('Flujo 13S'!C28:O28)*-1,0)</f>
        <v/>
      </c>
      <c r="G7" s="55">
        <f>IF(E7&lt;C7,"bajo p25",IF(E7&lt;D7,"p25-p50","sobre p50"))</f>
        <v/>
      </c>
    </row>
    <row r="8">
      <c r="B8" s="53" t="inlineStr">
        <is>
          <t>Burn neto semanal (MXN)</t>
        </is>
      </c>
      <c r="C8" s="60" t="n">
        <v>200000</v>
      </c>
      <c r="D8" s="60" t="n">
        <v>400000</v>
      </c>
      <c r="E8" s="60" t="n">
        <v>700000</v>
      </c>
      <c r="F8" s="61">
        <f>AVERAGE('Flujo 13S'!C28:O28)*-1</f>
        <v/>
      </c>
      <c r="G8" s="55">
        <f>IF(E8&lt;C8,"bajo p25 — eficiente",IF(E8&lt;D8,"p25-p50","sobre p50 — agresivo"))</f>
        <v/>
      </c>
    </row>
    <row r="9">
      <c r="B9" s="53" t="inlineStr">
        <is>
          <t>Días de caja (sobre egresos)</t>
        </is>
      </c>
      <c r="C9" s="62" t="n">
        <v>42</v>
      </c>
      <c r="D9" s="62" t="n">
        <v>90</v>
      </c>
      <c r="E9" s="62" t="n">
        <v>180</v>
      </c>
      <c r="F9" s="63">
        <f>ROUND(Supuestos!C19/(AVERAGE('Flujo 13S'!C26:O26)/7)*1,0)</f>
        <v/>
      </c>
      <c r="G9" s="55">
        <f>IF(E9&lt;C9,"bajo p25",IF(E9&lt;D9,"p25-p50","sobre p50"))</f>
        <v/>
      </c>
    </row>
    <row r="10">
      <c r="B10" s="53" t="inlineStr">
        <is>
          <t>Ratio cobranza/egresos</t>
        </is>
      </c>
      <c r="C10" s="64" t="n">
        <v>0.7</v>
      </c>
      <c r="D10" s="64" t="n">
        <v>0.9</v>
      </c>
      <c r="E10" s="64" t="n">
        <v>1.1</v>
      </c>
      <c r="F10" s="65">
        <f>AVERAGE('Flujo 13S'!C16:O16)/AVERAGE('Flujo 13S'!C26:O26)</f>
        <v/>
      </c>
      <c r="G10" s="55">
        <f>IF(E10&lt;C10,"déficit",IF(E10&lt;D10,"quemando","operación financia"))</f>
        <v/>
      </c>
    </row>
    <row r="11">
      <c r="B11" s="53" t="inlineStr">
        <is>
          <t>Cobranza semanal (MXN)</t>
        </is>
      </c>
      <c r="C11" s="60" t="n">
        <v>400000</v>
      </c>
      <c r="D11" s="60" t="n">
        <v>700000</v>
      </c>
      <c r="E11" s="60" t="n">
        <v>1200000</v>
      </c>
      <c r="F11" s="61">
        <f>AVERAGE('Flujo 13S'!C16:O16)</f>
        <v/>
      </c>
      <c r="G11" s="55">
        <f>IF(E11&lt;C11,"bajo p25",IF(E11&lt;D11,"p25-p50","sobre p50"))</f>
        <v/>
      </c>
    </row>
    <row r="15" ht="18" customHeight="1">
      <c r="B15" s="66" t="inlineStr">
        <is>
          <t>Fuente: muestra anónima de 28 empresas SaaS Serie A/B operando en LATAM, ARR $1-10M USD, datos del archivo CFOˣ 2024-2026. Convertidas a MXN a FX 20.0 cuando aplica.</t>
        </is>
      </c>
    </row>
    <row r="16"/>
    <row r="20">
      <c r="B20" s="24" t="inlineStr">
        <is>
          <t>cfoexponencial.com · El Equipo CFOˣ · v2.0 · Mayo 2026</t>
        </is>
      </c>
    </row>
  </sheetData>
  <mergeCells count="1">
    <mergeCell ref="B15:G16"/>
  </mergeCells>
  <pageMargins left="0.4" right="0.4" top="0.4" bottom="0.4" header="0.5" footer="0.5"/>
  <pageSetup orientation="landscape" fitToHeight="1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B2:C38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38" customWidth="1" min="3" max="3"/>
    <col width="2" customWidth="1" min="4" max="4"/>
  </cols>
  <sheetData>
    <row r="2">
      <c r="B2" s="1" t="inlineStr">
        <is>
          <t>METODOLOGÍA Y ERRORES COMUNES</t>
        </is>
      </c>
    </row>
    <row r="3" ht="38" customHeight="1">
      <c r="B3" s="2" t="inlineStr">
        <is>
          <t>Cómo está estructurado este modelo, y qué lo rompe</t>
        </is>
      </c>
    </row>
    <row r="6">
      <c r="B6" s="17" t="inlineStr">
        <is>
          <t>ESTRUCTURA</t>
        </is>
      </c>
    </row>
    <row r="7" ht="22" customHeight="1">
      <c r="B7" s="45" t="inlineStr">
        <is>
          <t>El modelo asume cierre semanal los viernes. El saldo inicial de cada semana es el saldo final de la anterior — único punto de cálculo, sin estimaciones. Los ingresos son cobranza (con factura vencida) más nuevos contratos firmados (con MRR cobrado). Los egresos siguen convención FP&amp;A: nómina, proveedores, SAT (día 17 del mes siguiente), capex y otros. El saldo final tiene conditional formatting: rojo si está bajo umbral, amarillo si está bajo 2× umbral.</t>
        </is>
      </c>
    </row>
    <row r="8"/>
    <row r="9"/>
    <row r="12">
      <c r="B12" s="67" t="inlineStr">
        <is>
          <t>LAS OCHO COSAS QUE MATAN UN CASH FLOW</t>
        </is>
      </c>
    </row>
    <row r="13" ht="22" customHeight="1">
      <c r="B13" s="3" t="inlineStr">
        <is>
          <t>Compiladas de 47 modelos revisados en el archivo CFOˣ</t>
        </is>
      </c>
    </row>
    <row r="16">
      <c r="B16" s="1" t="inlineStr">
        <is>
          <t>ERROR 01</t>
        </is>
      </c>
      <c r="C16" s="1" t="inlineStr">
        <is>
          <t>ERROR 02</t>
        </is>
      </c>
    </row>
    <row r="17">
      <c r="B17" s="17" t="inlineStr">
        <is>
          <t>Sobrestimar cobranza</t>
        </is>
      </c>
      <c r="C17" s="17" t="inlineStr">
        <is>
          <t>Olvidar el día 17 del SAT</t>
        </is>
      </c>
    </row>
    <row r="18" ht="30" customHeight="1">
      <c r="B18" s="18" t="inlineStr">
        <is>
          <t>Llenas con pipeline en lugar de contratos firmados. Resultado: caja real −25% vs forecast en S4-S6.</t>
        </is>
      </c>
      <c r="C18" s="18" t="inlineStr">
        <is>
          <t>IVA + ISR + retenciones + IMSS + INFONAVIT vencen el 17 del mes siguiente. 25-35% de los egresos en una semana.</t>
        </is>
      </c>
    </row>
    <row r="19" ht="30" customHeight="1">
      <c r="B19" s="68" t="inlineStr">
        <is>
          <t>Fix: Solo entra cobranza con factura emitida y términos vencidos.</t>
        </is>
      </c>
      <c r="C19" s="68" t="inlineStr">
        <is>
          <t>Fix: El modelo lo precarga en S4, S8, S12.</t>
        </is>
      </c>
    </row>
    <row r="20">
      <c r="B20" s="1" t="inlineStr">
        <is>
          <t>ERROR 03</t>
        </is>
      </c>
      <c r="C20" s="1" t="inlineStr">
        <is>
          <t>ERROR 04</t>
        </is>
      </c>
    </row>
    <row r="21">
      <c r="B21" s="17" t="inlineStr">
        <is>
          <t>Confundir devengado con flujo</t>
        </is>
      </c>
      <c r="C21" s="17" t="inlineStr">
        <is>
          <t>No conciliar saldo inicial</t>
        </is>
      </c>
    </row>
    <row r="22" ht="30" customHeight="1">
      <c r="B22" s="18" t="inlineStr">
        <is>
          <t>Un gasto en el ERP no es flujo. El flujo es cuando sale del banco.</t>
        </is>
      </c>
      <c r="C22" s="18" t="inlineStr">
        <is>
          <t>Si S1 está estimado, S2-S13 están mal. La aritmética se compone.</t>
        </is>
      </c>
    </row>
    <row r="23" ht="30" customHeight="1">
      <c r="B23" s="68" t="inlineStr">
        <is>
          <t>Fix: Exporta por fecha de pago, no fecha de factura.</t>
        </is>
      </c>
      <c r="C23" s="68" t="inlineStr">
        <is>
          <t>Fix: Saldo inicial del extracto bancario del viernes. Punto.</t>
        </is>
      </c>
    </row>
    <row r="24">
      <c r="B24" s="1" t="inlineStr">
        <is>
          <t>ERROR 05</t>
        </is>
      </c>
      <c r="C24" s="1" t="inlineStr">
        <is>
          <t>ERROR 06</t>
        </is>
      </c>
    </row>
    <row r="25">
      <c r="B25" s="17" t="inlineStr">
        <is>
          <t>Ignorar el FX dual</t>
        </is>
      </c>
      <c r="C25" s="17" t="inlineStr">
        <is>
          <t>Modelo de un solo escenario</t>
        </is>
      </c>
    </row>
    <row r="26" ht="30" customHeight="1">
      <c r="B26" s="18" t="inlineStr">
        <is>
          <t>MXN y USD reportados en MXN: el FIX move cambia el saldo sin flujo real.</t>
        </is>
      </c>
      <c r="C26" s="18" t="inlineStr">
        <is>
          <t>Base case sólo te dice un futuro. La pregunta del CFO es: ¿y si cobranza cae 20%?</t>
        </is>
      </c>
    </row>
    <row r="27" ht="30" customHeight="1">
      <c r="B27" s="68" t="inlineStr">
        <is>
          <t>Fix: Revaluación en línea separada con el FIX semanal de Banxico.</t>
        </is>
      </c>
      <c r="C27" s="68" t="inlineStr">
        <is>
          <t>Fix: El modelo ya tiene Base/Down/Up con un toggle en Supuestos!C9.</t>
        </is>
      </c>
    </row>
    <row r="28">
      <c r="B28" s="1" t="inlineStr">
        <is>
          <t>ERROR 07</t>
        </is>
      </c>
      <c r="C28" s="1" t="inlineStr">
        <is>
          <t>ERROR 08</t>
        </is>
      </c>
    </row>
    <row r="29">
      <c r="B29" s="17" t="inlineStr">
        <is>
          <t>Tratar capex como inevitable</t>
        </is>
      </c>
      <c r="C29" s="17" t="inlineStr">
        <is>
          <t>No medir forecast vs actual</t>
        </is>
      </c>
    </row>
    <row r="30" ht="30" customHeight="1">
      <c r="B30" s="18" t="inlineStr">
        <is>
          <t>Capex sin PO firmado es diferible. La palanca más subutilizada en empresas cash-tight.</t>
        </is>
      </c>
      <c r="C30" s="18" t="inlineStr">
        <is>
          <t>Sin comparar S1 forecast vs S1 actual, nunca calibras. El modelo siempre miente igual.</t>
        </is>
      </c>
    </row>
    <row r="31" ht="30" customHeight="1">
      <c r="B31" s="68" t="inlineStr">
        <is>
          <t>Fix: El modelo lo identifica y cuantifica el alivio en Lectura CFO.</t>
        </is>
      </c>
      <c r="C31" s="68" t="inlineStr">
        <is>
          <t>Fix: Archiva la semana cerrada cada lunes en un libro separado.</t>
        </is>
      </c>
    </row>
    <row r="33">
      <c r="B33" s="1" t="inlineStr">
        <is>
          <t>FUENTES Y REFERENCIAS</t>
        </is>
      </c>
    </row>
    <row r="34" ht="18" customHeight="1">
      <c r="B34" s="66" t="inlineStr">
        <is>
          <t>Convenciones FP&amp;A: SAT (LIVA, LISR), Banxico (FIX), IMSS. Casos: archivo CFOˣ 2024-2026. Este modelo está destilado del caso № 11 publicado en cfoexponencial.com/archivo/caso-11.</t>
        </is>
      </c>
    </row>
    <row r="35"/>
    <row r="38">
      <c r="B38" s="24" t="inlineStr">
        <is>
          <t>cfoexponencial.com · El Equipo CFOˣ · v2.0 · Mayo 2026</t>
        </is>
      </c>
    </row>
  </sheetData>
  <mergeCells count="2">
    <mergeCell ref="B7:C9"/>
    <mergeCell ref="B34:C35"/>
  </mergeCells>
  <pageMargins left="0.4" right="0.4" top="0.4" bottom="0.4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2026-05-23T23:21:44Z</dcterms:created>
  <dcterms:modified xsi:type="dcterms:W3CDTF">2026-05-23T23:21:44Z</dcterms:modified>
</cp:coreProperties>
</file>